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DRY_DOKUMENTACE PRO PROVÁDĚNÍ STAVBY_I.ČÁST\D_DOKUMENTACE OBJEKTŮ\D3_VÝKAZ VÝMĚR\"/>
    </mc:Choice>
  </mc:AlternateContent>
  <xr:revisionPtr revIDLastSave="0" documentId="13_ncr:1_{28D2507A-37BC-4DA6-8D02-1EBF610BFA23}" xr6:coauthVersionLast="46" xr6:coauthVersionMax="46" xr10:uidLastSave="{00000000-0000-0000-0000-000000000000}"/>
  <bookViews>
    <workbookView xWindow="8115" yWindow="3510" windowWidth="17085" windowHeight="13035" firstSheet="2" activeTab="2" xr2:uid="{00000000-000D-0000-FFFF-FFFF00000000}"/>
  </bookViews>
  <sheets>
    <sheet name="SO-01 VV PORTÁL" sheetId="5" r:id="rId1"/>
    <sheet name="SO 02 ZAJIŠTĚNÍ B23" sheetId="7" r:id="rId2"/>
    <sheet name="SO 04 ZAJIŠTĚNÍ" sheetId="9" r:id="rId3"/>
    <sheet name="SO-05" sheetId="11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J4" i="5"/>
  <c r="J8" i="5"/>
  <c r="J15" i="5"/>
  <c r="J16" i="5"/>
  <c r="F6" i="11"/>
  <c r="L40" i="7" l="1"/>
  <c r="M32" i="7"/>
  <c r="M28" i="7"/>
  <c r="M25" i="7"/>
  <c r="M24" i="7"/>
  <c r="M17" i="7"/>
  <c r="I19" i="7" l="1"/>
  <c r="H19" i="7"/>
  <c r="M19" i="7" s="1"/>
  <c r="H18" i="7"/>
  <c r="M18" i="7" s="1"/>
  <c r="I18" i="7"/>
  <c r="G3" i="11" l="1"/>
  <c r="I4" i="11"/>
  <c r="J4" i="11" s="1"/>
  <c r="G12" i="9"/>
  <c r="I12" i="9" s="1"/>
  <c r="J12" i="9" s="1"/>
  <c r="G11" i="9"/>
  <c r="I11" i="9" s="1"/>
  <c r="J11" i="9" s="1"/>
  <c r="F10" i="9"/>
  <c r="G10" i="9" s="1"/>
  <c r="I10" i="9" s="1"/>
  <c r="J10" i="9" s="1"/>
  <c r="G9" i="9"/>
  <c r="I9" i="9" s="1"/>
  <c r="J9" i="9" s="1"/>
  <c r="F8" i="9"/>
  <c r="G8" i="9" s="1"/>
  <c r="I8" i="9" s="1"/>
  <c r="J8" i="9" s="1"/>
  <c r="F7" i="9"/>
  <c r="G7" i="9" s="1"/>
  <c r="I7" i="9" s="1"/>
  <c r="J7" i="9" s="1"/>
  <c r="F3" i="9"/>
  <c r="G3" i="9" s="1"/>
  <c r="I3" i="9" s="1"/>
  <c r="G4" i="9"/>
  <c r="I4" i="9" s="1"/>
  <c r="J4" i="9" s="1"/>
  <c r="H39" i="7"/>
  <c r="K33" i="7"/>
  <c r="L33" i="7" s="1"/>
  <c r="K19" i="7"/>
  <c r="L19" i="7" s="1"/>
  <c r="I17" i="7"/>
  <c r="K17" i="7" s="1"/>
  <c r="L17" i="7" s="1"/>
  <c r="K18" i="7"/>
  <c r="L18" i="7" s="1"/>
  <c r="H16" i="7"/>
  <c r="H14" i="7"/>
  <c r="K14" i="7" s="1"/>
  <c r="L14" i="7" s="1"/>
  <c r="H12" i="7"/>
  <c r="K12" i="7" s="1"/>
  <c r="L12" i="7" s="1"/>
  <c r="K11" i="7"/>
  <c r="L11" i="7" s="1"/>
  <c r="H10" i="7"/>
  <c r="K10" i="7" s="1"/>
  <c r="L10" i="7" s="1"/>
  <c r="H9" i="7"/>
  <c r="K9" i="7" s="1"/>
  <c r="L9" i="7" s="1"/>
  <c r="H8" i="7"/>
  <c r="K8" i="7" s="1"/>
  <c r="L8" i="7" s="1"/>
  <c r="I32" i="7"/>
  <c r="K32" i="7" s="1"/>
  <c r="L32" i="7" s="1"/>
  <c r="I31" i="7"/>
  <c r="K31" i="7" s="1"/>
  <c r="L31" i="7" s="1"/>
  <c r="I30" i="7"/>
  <c r="K30" i="7" s="1"/>
  <c r="L30" i="7" s="1"/>
  <c r="E30" i="7"/>
  <c r="I28" i="7"/>
  <c r="K28" i="7" s="1"/>
  <c r="L28" i="7" s="1"/>
  <c r="I27" i="7"/>
  <c r="K27" i="7" s="1"/>
  <c r="L27" i="7" s="1"/>
  <c r="I26" i="7"/>
  <c r="K26" i="7" s="1"/>
  <c r="L26" i="7" s="1"/>
  <c r="E26" i="7"/>
  <c r="I25" i="7"/>
  <c r="K25" i="7" s="1"/>
  <c r="L25" i="7" s="1"/>
  <c r="E25" i="7"/>
  <c r="I24" i="7"/>
  <c r="K24" i="7" s="1"/>
  <c r="L24" i="7" s="1"/>
  <c r="E24" i="7"/>
  <c r="H23" i="7"/>
  <c r="H22" i="7"/>
  <c r="E22" i="7"/>
  <c r="I20" i="7"/>
  <c r="K20" i="7" s="1"/>
  <c r="L20" i="7" s="1"/>
  <c r="E20" i="7"/>
  <c r="E19" i="7"/>
  <c r="E16" i="7"/>
  <c r="E14" i="7"/>
  <c r="E8" i="7"/>
  <c r="K7" i="7"/>
  <c r="L7" i="7" s="1"/>
  <c r="E7" i="7"/>
  <c r="K6" i="7"/>
  <c r="E6" i="7"/>
  <c r="I3" i="11" l="1"/>
  <c r="J3" i="11" s="1"/>
  <c r="I22" i="7"/>
  <c r="K22" i="7" s="1"/>
  <c r="L22" i="7" s="1"/>
  <c r="M22" i="7"/>
  <c r="I23" i="7"/>
  <c r="K23" i="7" s="1"/>
  <c r="L23" i="7" s="1"/>
  <c r="M23" i="7"/>
  <c r="I16" i="7"/>
  <c r="K16" i="7" s="1"/>
  <c r="L16" i="7" s="1"/>
  <c r="M16" i="7"/>
  <c r="G14" i="9"/>
  <c r="F8" i="7"/>
  <c r="L6" i="7"/>
  <c r="M40" i="7" l="1"/>
  <c r="XET7" i="9"/>
  <c r="H20" i="5" l="1"/>
  <c r="F18" i="5"/>
  <c r="H7" i="5"/>
  <c r="F16" i="5"/>
  <c r="H16" i="5" s="1"/>
  <c r="F15" i="5"/>
  <c r="F12" i="5"/>
  <c r="F9" i="5"/>
  <c r="H9" i="5" s="1"/>
  <c r="F8" i="5"/>
  <c r="H8" i="5" s="1"/>
  <c r="F6" i="5"/>
  <c r="F4" i="5"/>
  <c r="H4" i="5" l="1"/>
  <c r="H15" i="5"/>
  <c r="XFD8" i="5"/>
  <c r="J3" i="9" l="1"/>
  <c r="J14" i="9" s="1"/>
</calcChain>
</file>

<file path=xl/sharedStrings.xml><?xml version="1.0" encoding="utf-8"?>
<sst xmlns="http://schemas.openxmlformats.org/spreadsheetml/2006/main" count="306" uniqueCount="155">
  <si>
    <t>POČET</t>
  </si>
  <si>
    <t>m</t>
  </si>
  <si>
    <t>D1</t>
  </si>
  <si>
    <t>Š1</t>
  </si>
  <si>
    <t>CELKEM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</si>
  <si>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</si>
  <si>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</si>
  <si>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ks</t>
  </si>
  <si>
    <t>POPIS POLOŽKY</t>
  </si>
  <si>
    <t>MATERIÁL</t>
  </si>
  <si>
    <t>POLOŽKA</t>
  </si>
  <si>
    <t>JEDN.1</t>
  </si>
  <si>
    <t>POČET 1</t>
  </si>
  <si>
    <t>JEDN.2</t>
  </si>
  <si>
    <t>POČET 2</t>
  </si>
  <si>
    <t>BETON PROSTÝ C8/10</t>
  </si>
  <si>
    <t>OCEL</t>
  </si>
  <si>
    <t>DVEŘEJ</t>
  </si>
  <si>
    <t>RÁM DVEŘEJE</t>
  </si>
  <si>
    <r>
      <t xml:space="preserve">DŘEVO DUB </t>
    </r>
    <r>
      <rPr>
        <sz val="11"/>
        <color theme="1"/>
        <rFont val="Symbol"/>
        <family val="1"/>
        <charset val="2"/>
      </rPr>
      <t xml:space="preserve">Æ  </t>
    </r>
    <r>
      <rPr>
        <sz val="11"/>
        <color theme="1"/>
        <rFont val="Arial"/>
        <family val="2"/>
        <charset val="238"/>
      </rPr>
      <t>250</t>
    </r>
  </si>
  <si>
    <t>TESAŘSKÁ KRAMLE</t>
  </si>
  <si>
    <t>OCEL  14 x 250</t>
  </si>
  <si>
    <t>PRÁH HNÍZDA</t>
  </si>
  <si>
    <t>DVEŘE</t>
  </si>
  <si>
    <t>PRKNA HOBLOVANÁ</t>
  </si>
  <si>
    <t>HŘEB KOVÁŘSKÝ</t>
  </si>
  <si>
    <t>KOVÁŘSKÁ OCEL 16x16x52</t>
  </si>
  <si>
    <t>kg</t>
  </si>
  <si>
    <t>PETLICE, ZÁVĚSY</t>
  </si>
  <si>
    <t>KRYT ZÁMKU</t>
  </si>
  <si>
    <t>ZÁMEK</t>
  </si>
  <si>
    <t>2.DVEŘEJ</t>
  </si>
  <si>
    <r>
      <t xml:space="preserve">DŘEVO DUB </t>
    </r>
    <r>
      <rPr>
        <sz val="11"/>
        <color theme="1"/>
        <rFont val="Symbol"/>
        <family val="1"/>
        <charset val="2"/>
      </rPr>
      <t xml:space="preserve">Æ  </t>
    </r>
    <r>
      <rPr>
        <sz val="11"/>
        <color theme="1"/>
        <rFont val="Arial"/>
        <family val="2"/>
        <charset val="238"/>
      </rPr>
      <t>200</t>
    </r>
  </si>
  <si>
    <t>PAŽENÍ</t>
  </si>
  <si>
    <t>FOŠNA DUBOVÁ 150x50</t>
  </si>
  <si>
    <t>ZÁVITOVÁ TYČ</t>
  </si>
  <si>
    <t xml:space="preserve">VRATOVÉ ŠRUBY </t>
  </si>
  <si>
    <t>DIN 603 M8x75</t>
  </si>
  <si>
    <t>VRUT DO DŘEVA ŠESTIHRAN</t>
  </si>
  <si>
    <t>DIN 571 8x80 NEREZ</t>
  </si>
  <si>
    <t>CEMENT</t>
  </si>
  <si>
    <t>POJIVO</t>
  </si>
  <si>
    <t>IMREGNACE</t>
  </si>
  <si>
    <t>l</t>
  </si>
  <si>
    <t>SVAH</t>
  </si>
  <si>
    <t>ZPEVNĚNÍ SVAHU</t>
  </si>
  <si>
    <t>KOTVY</t>
  </si>
  <si>
    <t>CELKEM m; m2</t>
  </si>
  <si>
    <t>HRÁNĚ</t>
  </si>
  <si>
    <t>STOJKA</t>
  </si>
  <si>
    <t>DVEŘEJ B-23 1,8 m</t>
  </si>
  <si>
    <r>
      <t xml:space="preserve">DŘEVO SMRK KULATINA  </t>
    </r>
    <r>
      <rPr>
        <sz val="11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  <scheme val="minor"/>
      </rPr>
      <t xml:space="preserve">  100</t>
    </r>
  </si>
  <si>
    <t>DŘEVO FOŠNA DUB 50x250x2000</t>
  </si>
  <si>
    <t>BEZTLAKOVÁ INJEKTÁŽ</t>
  </si>
  <si>
    <t>CEMENT VODA</t>
  </si>
  <si>
    <t>STROPNICE PŘÍČNÁ</t>
  </si>
  <si>
    <t>STROPNICE PODÉL.</t>
  </si>
  <si>
    <t xml:space="preserve">STOJKA </t>
  </si>
  <si>
    <t>DUBOVÉ PRAŽCE JK-01</t>
  </si>
  <si>
    <r>
      <t xml:space="preserve">DŘEVO DUB KULATINA  </t>
    </r>
    <r>
      <rPr>
        <sz val="11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  <scheme val="minor"/>
      </rPr>
      <t xml:space="preserve">  150</t>
    </r>
  </si>
  <si>
    <t>CEMETOVÁ SUSPENZE</t>
  </si>
  <si>
    <t>OCELOVÉ PAŽNICE</t>
  </si>
  <si>
    <t>oblouk  K21 horní</t>
  </si>
  <si>
    <t>VÝZTUŽ OCELOVÁ DŮLNÍ</t>
  </si>
  <si>
    <t>oblouk  K21 boční</t>
  </si>
  <si>
    <t>TŘMEN PRO DŮLNÍ VÝZTUŽ</t>
  </si>
  <si>
    <t>TŘMEN + 2x MATICE M 27x168x99mm</t>
  </si>
  <si>
    <t>ROZPINKA</t>
  </si>
  <si>
    <t>PŘÍČNÝ PRÁH</t>
  </si>
  <si>
    <t>U PROFIL 130x1400</t>
  </si>
  <si>
    <t>DVEŘEJ FOŠNA STAVEBNÍ DVEŘEJ</t>
  </si>
  <si>
    <t>TRVALÁ OCELOVÁ VÝZTUŽ</t>
  </si>
  <si>
    <t>BOČNÍ VÝZTUŽ PODÉL.</t>
  </si>
  <si>
    <t>POHLEDOVÁ DŘEVĚNÁ VÝZTUŽ</t>
  </si>
  <si>
    <t>DUBOVÉ PRAŽCE B-23</t>
  </si>
  <si>
    <t>DŘEVO PŮLKLATINA 150x1130</t>
  </si>
  <si>
    <t>KULATINA NA B-23 1,8 m</t>
  </si>
  <si>
    <t>KULATINA NA  J-01  4 m</t>
  </si>
  <si>
    <t>STROPNICE</t>
  </si>
  <si>
    <t>DŘEVO FOŠNA DUB 50x250x1000</t>
  </si>
  <si>
    <t>ZTRACENÁ VÝZTUŽ</t>
  </si>
  <si>
    <t>FOŠNA STAVEBNÍ</t>
  </si>
  <si>
    <t>FOŠNA STAVEBNÍ, DESKA</t>
  </si>
  <si>
    <t>DŘEVO SMRK 25x200x1000</t>
  </si>
  <si>
    <t>DŘEVO DUB  15x26x1000</t>
  </si>
  <si>
    <t>PROVIZORNÍ A PŘEDSUVNÁ VÝZTUŽ</t>
  </si>
  <si>
    <r>
      <t xml:space="preserve">DŘEVO SMRK KULATINA  </t>
    </r>
    <r>
      <rPr>
        <sz val="11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  <scheme val="minor"/>
      </rPr>
      <t xml:space="preserve">  100-150</t>
    </r>
  </si>
  <si>
    <r>
      <t xml:space="preserve">TYČ </t>
    </r>
    <r>
      <rPr>
        <sz val="11"/>
        <color theme="1"/>
        <rFont val="Calibri"/>
        <family val="2"/>
        <charset val="238"/>
      </rPr>
      <t>Ø</t>
    </r>
    <r>
      <rPr>
        <sz val="11"/>
        <color theme="1"/>
        <rFont val="Calibri"/>
        <family val="2"/>
        <charset val="238"/>
        <scheme val="minor"/>
      </rPr>
      <t>12</t>
    </r>
  </si>
  <si>
    <t>M16, CHEMICKÁ KOTVA</t>
  </si>
  <si>
    <t>DUB 25 x 150</t>
  </si>
  <si>
    <t>OCEL PÁSOVINA 60X5 mm</t>
  </si>
  <si>
    <t>HMOTNOST
CELKEM
kg</t>
  </si>
  <si>
    <t>HMOTNOST
CELKEM
t</t>
  </si>
  <si>
    <r>
      <t>MĚRNÁ HMOTNOST kg/m
kg/ks
kg/m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</si>
  <si>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JEDN.</t>
  </si>
  <si>
    <r>
      <t>MĚRNÁ HMOTNOST kg/m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</si>
  <si>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CELKEM 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</si>
  <si>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ODEČET ŠACHOVNICOVÉHO BUDOVÁNÍ 2x</t>
  </si>
  <si>
    <t>KULATINA NA B-23 4 m</t>
  </si>
  <si>
    <t>KULATINA B-23 1,8 m</t>
  </si>
  <si>
    <t>KULATINA J-01 4 m</t>
  </si>
  <si>
    <t>UNION 908/3 STROP</t>
  </si>
  <si>
    <t>UNION 908/3 BOK</t>
  </si>
  <si>
    <r>
      <t xml:space="preserve">DŘEVO DUB KULATINA  </t>
    </r>
    <r>
      <rPr>
        <sz val="11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  <scheme val="minor"/>
      </rPr>
      <t xml:space="preserve">  100</t>
    </r>
  </si>
  <si>
    <t>Drát</t>
  </si>
  <si>
    <t>Hřebíky stavební</t>
  </si>
  <si>
    <t>3,15 x 80</t>
  </si>
  <si>
    <t>5 X 150</t>
  </si>
  <si>
    <t>7,1 x 210</t>
  </si>
  <si>
    <t>Elektrody</t>
  </si>
  <si>
    <t>Vyzačský drát 3,15</t>
  </si>
  <si>
    <t>bal. 5 kg</t>
  </si>
  <si>
    <t>Ø 2,5</t>
  </si>
  <si>
    <t>Ø 4</t>
  </si>
  <si>
    <t>J-02 plazivka</t>
  </si>
  <si>
    <r>
      <t>CELKEM m;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</si>
  <si>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FOŠNA DUBOVÁ 150x50x1000</t>
  </si>
  <si>
    <t>JK-01, JK1/1</t>
  </si>
  <si>
    <r>
      <t xml:space="preserve">DŘEVO DUB </t>
    </r>
    <r>
      <rPr>
        <sz val="11"/>
        <color theme="1"/>
        <rFont val="Symbol"/>
        <family val="1"/>
        <charset val="2"/>
      </rPr>
      <t xml:space="preserve">Æ  </t>
    </r>
    <r>
      <rPr>
        <sz val="11"/>
        <color theme="1"/>
        <rFont val="Arial"/>
        <family val="2"/>
        <charset val="238"/>
      </rPr>
      <t>150 x 1000</t>
    </r>
  </si>
  <si>
    <r>
      <t xml:space="preserve">DŘEVO DUB </t>
    </r>
    <r>
      <rPr>
        <sz val="11"/>
        <color theme="1"/>
        <rFont val="Symbol"/>
        <family val="1"/>
        <charset val="2"/>
      </rPr>
      <t xml:space="preserve">Æ  </t>
    </r>
    <r>
      <rPr>
        <sz val="11"/>
        <color theme="1"/>
        <rFont val="Arial"/>
        <family val="2"/>
        <charset val="238"/>
      </rPr>
      <t>150 x 2200</t>
    </r>
  </si>
  <si>
    <r>
      <t xml:space="preserve">DŘEVO DUB </t>
    </r>
    <r>
      <rPr>
        <sz val="11"/>
        <color theme="1"/>
        <rFont val="Symbol"/>
        <family val="1"/>
        <charset val="2"/>
      </rPr>
      <t xml:space="preserve">Æ  </t>
    </r>
    <r>
      <rPr>
        <sz val="11"/>
        <color theme="1"/>
        <rFont val="Arial"/>
        <family val="2"/>
        <charset val="238"/>
      </rPr>
      <t>150 x 3000</t>
    </r>
  </si>
  <si>
    <t>J - 03</t>
  </si>
  <si>
    <t>STOJKA DVEŘEJE</t>
  </si>
  <si>
    <r>
      <t xml:space="preserve">DŘEVO DUB </t>
    </r>
    <r>
      <rPr>
        <sz val="11"/>
        <color theme="1"/>
        <rFont val="Symbol"/>
        <family val="1"/>
        <charset val="2"/>
      </rPr>
      <t xml:space="preserve">Æ  </t>
    </r>
    <r>
      <rPr>
        <sz val="11"/>
        <color theme="1"/>
        <rFont val="Arial"/>
        <family val="2"/>
        <charset val="238"/>
      </rPr>
      <t>150 x 2000</t>
    </r>
  </si>
  <si>
    <t>DŘEVO STOJKA 100 x 1000</t>
  </si>
  <si>
    <t>STROPNICE, POLŮVKA, KULATINA</t>
  </si>
  <si>
    <t>J - 04</t>
  </si>
  <si>
    <r>
      <t xml:space="preserve">DŘEVO DUB KULATINA </t>
    </r>
    <r>
      <rPr>
        <sz val="11"/>
        <color theme="1"/>
        <rFont val="Symbol"/>
        <family val="1"/>
        <charset val="2"/>
      </rPr>
      <t xml:space="preserve">Æ  </t>
    </r>
    <r>
      <rPr>
        <sz val="11"/>
        <color theme="1"/>
        <rFont val="Arial"/>
        <family val="2"/>
        <charset val="238"/>
      </rPr>
      <t>100 x 1000</t>
    </r>
  </si>
  <si>
    <t>SIGNÁLNÍ STOJKA</t>
  </si>
  <si>
    <t>KULATINA</t>
  </si>
  <si>
    <r>
      <t xml:space="preserve">DŘEVO SMRK  </t>
    </r>
    <r>
      <rPr>
        <sz val="11"/>
        <color theme="1"/>
        <rFont val="Symbol"/>
        <family val="1"/>
        <charset val="2"/>
      </rPr>
      <t xml:space="preserve">Æ  </t>
    </r>
    <r>
      <rPr>
        <sz val="11"/>
        <color theme="1"/>
        <rFont val="Arial"/>
        <family val="2"/>
        <charset val="238"/>
      </rPr>
      <t>100 x 4000</t>
    </r>
  </si>
  <si>
    <r>
      <t>CELKEM 
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</si>
  <si>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MĚŘÍCÍ BODY</t>
  </si>
  <si>
    <t xml:space="preserve">SKOBA </t>
  </si>
  <si>
    <t>OCEL NEREZ, ČIDLO</t>
  </si>
  <si>
    <t>ŽEBŘÍK</t>
  </si>
  <si>
    <t>HLINÍK 4m</t>
  </si>
  <si>
    <t>SITUOVÁNÍ</t>
  </si>
  <si>
    <t>DŘEVINY</t>
  </si>
  <si>
    <t>JK-06</t>
  </si>
  <si>
    <t>OBJEKT</t>
  </si>
  <si>
    <t>DŘEVO FOŠNA DUB 25x250x2200</t>
  </si>
  <si>
    <t>DŘEVO FOŠNA DUB 25x250x1200</t>
  </si>
  <si>
    <t>DVEŘEJ PŮLKULATINA, SMRK  1,13 m</t>
  </si>
  <si>
    <r>
      <t>POVRCH DŘEVA
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</si>
  <si>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OCEL, překryv 
29 %</t>
  </si>
  <si>
    <t>OCEL, překryv
29 %</t>
  </si>
  <si>
    <t>VÝPIS MATERIÁLU SO 01 - PORTÁL</t>
  </si>
  <si>
    <t>VÝPIS MATERIÁLU SO 02 - ZAJIŠTĚNÍ B-23</t>
  </si>
  <si>
    <t>VÝPIS MATERIÁLU SO 04 - ŠACHTICE Š1 - ZAJIŠTĚNÍ OSTATNÍCH ČÁSTÍ DOLU</t>
  </si>
  <si>
    <t>MĚRNÁ HMOTNOST 
kg/m3</t>
  </si>
  <si>
    <r>
      <t>MĚRNÁ HMOTNOST 
kg/m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</si>
  <si>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JEDN.3</t>
  </si>
  <si>
    <t>POČET 3</t>
  </si>
  <si>
    <t>VÝPIS MATERIÁLU SO 05 - INSTALACE MĚŘÍCÍCH BODŮ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</si>
</sst>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/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0" fillId="0" borderId="13" xfId="0" applyBorder="1"/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16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164" fontId="0" fillId="0" borderId="11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horizontal="left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64" fontId="0" fillId="0" borderId="7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2" fontId="0" fillId="0" borderId="11" xfId="0" applyNumberFormat="1" applyBorder="1" applyAlignment="1">
      <alignment horizontal="left"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XFD20"/>
  <sheetViews>
    <sheetView showGridLines="0" topLeftCell="B1" workbookViewId="0">
      <selection activeCell="B1" sqref="B1:L22"/>
    </sheetView>
  </sheetViews>
  <sheetFormatPr defaultRowHeight="15" x14ac:dyDescent="0.25"/>
  <cols>
    <col min="1" max="1" width="2.7109375" customWidth="1"/>
    <col min="2" max="2" width="9.42578125" customWidth="1"/>
    <col min="3" max="3" width="26" customWidth="1"/>
    <col min="4" max="4" width="23.85546875" customWidth="1"/>
    <col min="5" max="5" width="6.85546875" customWidth="1"/>
    <col min="6" max="6" width="9.42578125" customWidth="1"/>
    <col min="7" max="7" width="6.85546875" customWidth="1"/>
    <col min="8" max="8" width="8.42578125" customWidth="1"/>
    <col min="9" max="9" width="7.42578125" customWidth="1"/>
  </cols>
  <sheetData>
    <row r="2" spans="2:10 16384:16384" ht="19.5" thickBot="1" x14ac:dyDescent="0.35">
      <c r="B2" s="2" t="s">
        <v>147</v>
      </c>
    </row>
    <row r="3" spans="2:10 16384:16384" s="1" customFormat="1" ht="30.75" customHeight="1" thickBot="1" x14ac:dyDescent="0.3">
      <c r="B3" s="64" t="s">
        <v>140</v>
      </c>
      <c r="C3" s="65" t="s">
        <v>8</v>
      </c>
      <c r="D3" s="65" t="s">
        <v>9</v>
      </c>
      <c r="E3" s="65" t="s">
        <v>11</v>
      </c>
      <c r="F3" s="65" t="s">
        <v>12</v>
      </c>
      <c r="G3" s="65" t="s">
        <v>13</v>
      </c>
      <c r="H3" s="67" t="s">
        <v>14</v>
      </c>
      <c r="I3" s="11" t="s">
        <v>152</v>
      </c>
      <c r="J3" s="66" t="s">
        <v>153</v>
      </c>
    </row>
    <row r="4" spans="2:10 16384:16384" s="8" customFormat="1" ht="23.25" customHeight="1" x14ac:dyDescent="0.25">
      <c r="B4" s="59" t="s">
        <v>17</v>
      </c>
      <c r="C4" s="60" t="s">
        <v>18</v>
      </c>
      <c r="D4" s="14" t="s">
        <v>19</v>
      </c>
      <c r="E4" s="15" t="s">
        <v>1</v>
      </c>
      <c r="F4" s="16">
        <f>1.3+1.7+1.7+1.6</f>
        <v>6.3000000000000007</v>
      </c>
      <c r="G4" s="16" t="s">
        <v>6</v>
      </c>
      <c r="H4" s="16">
        <f>3.14*0.25*0.25/4*F4</f>
        <v>0.30909375000000006</v>
      </c>
      <c r="I4" s="15" t="s">
        <v>5</v>
      </c>
      <c r="J4" s="68">
        <f>(2*3.14*0.25*0.25/4)+(3.14*0.25*F4)</f>
        <v>5.0436250000000005</v>
      </c>
    </row>
    <row r="5" spans="2:10 16384:16384" s="8" customFormat="1" ht="23.25" customHeight="1" x14ac:dyDescent="0.25">
      <c r="B5" s="61"/>
      <c r="C5" s="57" t="s">
        <v>20</v>
      </c>
      <c r="D5" s="4" t="s">
        <v>21</v>
      </c>
      <c r="E5" s="5" t="s">
        <v>7</v>
      </c>
      <c r="F5" s="6">
        <v>12</v>
      </c>
      <c r="G5" s="6"/>
      <c r="H5" s="6"/>
      <c r="I5" s="5"/>
      <c r="J5" s="69"/>
    </row>
    <row r="6" spans="2:10 16384:16384" s="8" customFormat="1" ht="23.25" customHeight="1" x14ac:dyDescent="0.25">
      <c r="B6" s="61"/>
      <c r="C6" s="57" t="s">
        <v>22</v>
      </c>
      <c r="D6" s="4" t="s">
        <v>15</v>
      </c>
      <c r="E6" s="5" t="s">
        <v>6</v>
      </c>
      <c r="F6" s="6">
        <f>0.3*0.2*1.5</f>
        <v>0.09</v>
      </c>
      <c r="G6" s="6"/>
      <c r="H6" s="6"/>
      <c r="I6" s="5"/>
      <c r="J6" s="69"/>
    </row>
    <row r="7" spans="2:10 16384:16384" s="8" customFormat="1" ht="23.25" customHeight="1" x14ac:dyDescent="0.25">
      <c r="B7" s="61"/>
      <c r="C7" s="57" t="s">
        <v>35</v>
      </c>
      <c r="D7" s="4" t="s">
        <v>88</v>
      </c>
      <c r="E7" s="5" t="s">
        <v>7</v>
      </c>
      <c r="F7" s="6">
        <v>8</v>
      </c>
      <c r="G7" s="6" t="s">
        <v>1</v>
      </c>
      <c r="H7" s="6">
        <f>8*0.6</f>
        <v>4.8</v>
      </c>
      <c r="I7" s="5"/>
      <c r="J7" s="69"/>
    </row>
    <row r="8" spans="2:10 16384:16384" s="8" customFormat="1" ht="23.25" customHeight="1" x14ac:dyDescent="0.25">
      <c r="B8" s="61" t="s">
        <v>23</v>
      </c>
      <c r="C8" s="57" t="s">
        <v>24</v>
      </c>
      <c r="D8" s="4" t="s">
        <v>89</v>
      </c>
      <c r="E8" s="5" t="s">
        <v>1</v>
      </c>
      <c r="F8" s="6">
        <f>+(11*1)+ (11*1.15)</f>
        <v>23.65</v>
      </c>
      <c r="G8" s="6" t="s">
        <v>6</v>
      </c>
      <c r="H8" s="6">
        <f>+F8*3.14*0.15*0.15/4</f>
        <v>0.41771812499999994</v>
      </c>
      <c r="I8" s="5" t="s">
        <v>5</v>
      </c>
      <c r="J8" s="69">
        <f>2*(0.025*0.15+0.025*23.65+0.15*23.65)</f>
        <v>8.2850000000000001</v>
      </c>
      <c r="XFD8" s="8">
        <f>SUM(A8:XFC8)</f>
        <v>32.352718124999996</v>
      </c>
    </row>
    <row r="9" spans="2:10 16384:16384" s="8" customFormat="1" ht="23.25" customHeight="1" x14ac:dyDescent="0.25">
      <c r="B9" s="61"/>
      <c r="C9" s="57" t="s">
        <v>25</v>
      </c>
      <c r="D9" s="4" t="s">
        <v>26</v>
      </c>
      <c r="E9" s="5" t="s">
        <v>7</v>
      </c>
      <c r="F9" s="6">
        <f>10*14</f>
        <v>140</v>
      </c>
      <c r="G9" s="6" t="s">
        <v>27</v>
      </c>
      <c r="H9" s="6">
        <f>+F9*0.264/10</f>
        <v>3.6960000000000002</v>
      </c>
      <c r="I9" s="5"/>
      <c r="J9" s="69"/>
    </row>
    <row r="10" spans="2:10 16384:16384" s="8" customFormat="1" ht="23.25" customHeight="1" x14ac:dyDescent="0.25">
      <c r="B10" s="61"/>
      <c r="C10" s="57" t="s">
        <v>36</v>
      </c>
      <c r="D10" s="4" t="s">
        <v>37</v>
      </c>
      <c r="E10" s="5" t="s">
        <v>7</v>
      </c>
      <c r="F10" s="6">
        <v>9</v>
      </c>
      <c r="G10" s="6"/>
      <c r="H10" s="6"/>
      <c r="I10" s="5"/>
      <c r="J10" s="69"/>
    </row>
    <row r="11" spans="2:10 16384:16384" s="8" customFormat="1" ht="23.25" customHeight="1" x14ac:dyDescent="0.25">
      <c r="B11" s="61"/>
      <c r="C11" s="57" t="s">
        <v>38</v>
      </c>
      <c r="D11" s="4" t="s">
        <v>39</v>
      </c>
      <c r="E11" s="5" t="s">
        <v>7</v>
      </c>
      <c r="F11" s="6">
        <v>6</v>
      </c>
      <c r="G11" s="6"/>
      <c r="H11" s="6"/>
      <c r="I11" s="5"/>
      <c r="J11" s="69"/>
    </row>
    <row r="12" spans="2:10 16384:16384" s="8" customFormat="1" ht="23.25" customHeight="1" x14ac:dyDescent="0.25">
      <c r="B12" s="61"/>
      <c r="C12" s="57" t="s">
        <v>28</v>
      </c>
      <c r="D12" s="4" t="s">
        <v>90</v>
      </c>
      <c r="E12" s="5" t="s">
        <v>1</v>
      </c>
      <c r="F12" s="6">
        <f>3*0.75</f>
        <v>2.25</v>
      </c>
      <c r="G12" s="6"/>
      <c r="H12" s="6"/>
      <c r="I12" s="5"/>
      <c r="J12" s="69"/>
    </row>
    <row r="13" spans="2:10 16384:16384" s="8" customFormat="1" ht="23.25" customHeight="1" x14ac:dyDescent="0.25">
      <c r="B13" s="61"/>
      <c r="C13" s="57" t="s">
        <v>29</v>
      </c>
      <c r="D13" s="4" t="s">
        <v>16</v>
      </c>
      <c r="E13" s="5" t="s">
        <v>7</v>
      </c>
      <c r="F13" s="6">
        <v>1</v>
      </c>
      <c r="G13" s="6"/>
      <c r="H13" s="6"/>
      <c r="I13" s="5"/>
      <c r="J13" s="69"/>
    </row>
    <row r="14" spans="2:10 16384:16384" s="8" customFormat="1" ht="23.25" customHeight="1" x14ac:dyDescent="0.25">
      <c r="B14" s="61"/>
      <c r="C14" s="57" t="s">
        <v>30</v>
      </c>
      <c r="D14" s="4"/>
      <c r="E14" s="5" t="s">
        <v>7</v>
      </c>
      <c r="F14" s="6">
        <v>1</v>
      </c>
      <c r="G14" s="6"/>
      <c r="H14" s="6"/>
      <c r="I14" s="5"/>
      <c r="J14" s="69"/>
    </row>
    <row r="15" spans="2:10 16384:16384" s="8" customFormat="1" ht="23.25" customHeight="1" x14ac:dyDescent="0.25">
      <c r="B15" s="61" t="s">
        <v>31</v>
      </c>
      <c r="C15" s="57" t="s">
        <v>18</v>
      </c>
      <c r="D15" s="4" t="s">
        <v>32</v>
      </c>
      <c r="E15" s="5" t="s">
        <v>1</v>
      </c>
      <c r="F15" s="6">
        <f>2+2+1.6</f>
        <v>5.6</v>
      </c>
      <c r="G15" s="6" t="s">
        <v>6</v>
      </c>
      <c r="H15" s="6">
        <f>3.14*0.2*0.2/4*F15</f>
        <v>0.17584000000000002</v>
      </c>
      <c r="I15" s="5" t="s">
        <v>5</v>
      </c>
      <c r="J15" s="69">
        <f>(2*3.14*0.2*0.2/4)+(3.14*0.2*F15)</f>
        <v>3.5796000000000006</v>
      </c>
    </row>
    <row r="16" spans="2:10 16384:16384" s="8" customFormat="1" ht="23.25" customHeight="1" x14ac:dyDescent="0.25">
      <c r="B16" s="61"/>
      <c r="C16" s="57" t="s">
        <v>33</v>
      </c>
      <c r="D16" s="4" t="s">
        <v>34</v>
      </c>
      <c r="E16" s="5" t="s">
        <v>1</v>
      </c>
      <c r="F16" s="6">
        <f>35*1.1</f>
        <v>38.5</v>
      </c>
      <c r="G16" s="6" t="s">
        <v>6</v>
      </c>
      <c r="H16" s="6">
        <f>+F16*0.05*0.15</f>
        <v>0.28875000000000001</v>
      </c>
      <c r="I16" s="5" t="s">
        <v>5</v>
      </c>
      <c r="J16" s="69">
        <f>2*(0.05*0.15+0.05*38.5+0.15*38.5)</f>
        <v>15.414999999999999</v>
      </c>
    </row>
    <row r="17" spans="2:10" s="8" customFormat="1" ht="23.25" customHeight="1" x14ac:dyDescent="0.25">
      <c r="B17" s="61"/>
      <c r="C17" s="57" t="s">
        <v>20</v>
      </c>
      <c r="D17" s="4" t="s">
        <v>21</v>
      </c>
      <c r="E17" s="5" t="s">
        <v>7</v>
      </c>
      <c r="F17" s="6">
        <v>2</v>
      </c>
      <c r="G17" s="6"/>
      <c r="H17" s="6"/>
      <c r="I17" s="5"/>
      <c r="J17" s="69"/>
    </row>
    <row r="18" spans="2:10" s="8" customFormat="1" ht="23.25" customHeight="1" x14ac:dyDescent="0.25">
      <c r="B18" s="61"/>
      <c r="C18" s="57" t="s">
        <v>41</v>
      </c>
      <c r="D18" s="4" t="s">
        <v>40</v>
      </c>
      <c r="E18" s="5" t="s">
        <v>27</v>
      </c>
      <c r="F18" s="6">
        <f>8*25</f>
        <v>200</v>
      </c>
      <c r="G18" s="6"/>
      <c r="H18" s="6"/>
      <c r="I18" s="5"/>
      <c r="J18" s="69"/>
    </row>
    <row r="19" spans="2:10" s="8" customFormat="1" ht="23.25" customHeight="1" x14ac:dyDescent="0.25">
      <c r="B19" s="61"/>
      <c r="C19" s="57" t="s">
        <v>42</v>
      </c>
      <c r="D19" s="4"/>
      <c r="E19" s="5" t="s">
        <v>27</v>
      </c>
      <c r="F19" s="6">
        <v>10</v>
      </c>
      <c r="G19" s="6" t="s">
        <v>5</v>
      </c>
      <c r="H19" s="6">
        <f>+J16+J15+J8+J4</f>
        <v>32.323225000000001</v>
      </c>
      <c r="I19" s="5"/>
      <c r="J19" s="69"/>
    </row>
    <row r="20" spans="2:10" s="8" customFormat="1" ht="23.25" customHeight="1" thickBot="1" x14ac:dyDescent="0.3">
      <c r="B20" s="62" t="s">
        <v>44</v>
      </c>
      <c r="C20" s="55" t="s">
        <v>45</v>
      </c>
      <c r="D20" s="20" t="s">
        <v>46</v>
      </c>
      <c r="E20" s="21" t="s">
        <v>7</v>
      </c>
      <c r="F20" s="42">
        <v>6</v>
      </c>
      <c r="G20" s="42" t="s">
        <v>1</v>
      </c>
      <c r="H20" s="42">
        <f>6*2</f>
        <v>12</v>
      </c>
      <c r="I20" s="21"/>
      <c r="J20" s="70"/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54DF3-8E0F-4400-AA6E-30F69C5E1671}">
  <sheetPr>
    <pageSetUpPr fitToPage="1"/>
  </sheetPr>
  <dimension ref="A2:M40"/>
  <sheetViews>
    <sheetView topLeftCell="A22" zoomScale="115" zoomScaleNormal="115" workbookViewId="0">
      <selection activeCell="A21" sqref="A21:M40"/>
    </sheetView>
  </sheetViews>
  <sheetFormatPr defaultRowHeight="15" x14ac:dyDescent="0.25"/>
  <cols>
    <col min="1" max="1" width="2.5703125" customWidth="1"/>
    <col min="2" max="2" width="18.28515625" customWidth="1"/>
    <col min="3" max="3" width="25" customWidth="1"/>
    <col min="4" max="4" width="16" customWidth="1"/>
    <col min="5" max="6" width="0" hidden="1" customWidth="1"/>
    <col min="11" max="11" width="14.28515625" customWidth="1"/>
    <col min="12" max="12" width="16.42578125" customWidth="1"/>
    <col min="13" max="13" width="15" customWidth="1"/>
  </cols>
  <sheetData>
    <row r="2" spans="1:13" ht="18.75" x14ac:dyDescent="0.25">
      <c r="B2" s="71" t="s">
        <v>148</v>
      </c>
      <c r="C2" s="71"/>
      <c r="D2" s="71"/>
    </row>
    <row r="3" spans="1:13" ht="15.75" thickBot="1" x14ac:dyDescent="0.3">
      <c r="A3" s="1"/>
      <c r="B3" s="7"/>
      <c r="C3" s="7"/>
      <c r="D3" s="7"/>
    </row>
    <row r="4" spans="1:13" ht="29.25" customHeight="1" thickBot="1" x14ac:dyDescent="0.3">
      <c r="A4" s="1"/>
      <c r="B4" s="10" t="s">
        <v>10</v>
      </c>
      <c r="C4" s="11" t="s">
        <v>8</v>
      </c>
      <c r="D4" s="11" t="s">
        <v>9</v>
      </c>
      <c r="E4" s="27" t="s">
        <v>2</v>
      </c>
      <c r="F4" s="27" t="s">
        <v>3</v>
      </c>
      <c r="G4" s="27" t="s">
        <v>94</v>
      </c>
      <c r="H4" s="27" t="s">
        <v>0</v>
      </c>
      <c r="I4" s="27" t="s">
        <v>47</v>
      </c>
      <c r="J4" s="27" t="s">
        <v>93</v>
      </c>
      <c r="K4" s="27" t="s">
        <v>91</v>
      </c>
      <c r="L4" s="27" t="s">
        <v>92</v>
      </c>
      <c r="M4" s="46" t="s">
        <v>144</v>
      </c>
    </row>
    <row r="5" spans="1:13" ht="29.25" customHeight="1" thickBot="1" x14ac:dyDescent="0.3">
      <c r="B5" s="9" t="s">
        <v>71</v>
      </c>
      <c r="C5" s="28"/>
      <c r="D5" s="28"/>
      <c r="E5" s="29"/>
      <c r="F5" s="29"/>
      <c r="G5" s="29"/>
      <c r="H5" s="29"/>
      <c r="I5" s="29"/>
      <c r="J5" s="29"/>
      <c r="K5" s="30"/>
      <c r="L5" s="29"/>
      <c r="M5" s="31"/>
    </row>
    <row r="6" spans="1:13" s="8" customFormat="1" ht="29.25" customHeight="1" x14ac:dyDescent="0.25">
      <c r="B6" s="32" t="s">
        <v>63</v>
      </c>
      <c r="C6" s="33" t="s">
        <v>62</v>
      </c>
      <c r="D6" s="33" t="s">
        <v>16</v>
      </c>
      <c r="E6" s="15">
        <f>2.7*2</f>
        <v>5.4</v>
      </c>
      <c r="F6" s="15"/>
      <c r="G6" s="15" t="s">
        <v>7</v>
      </c>
      <c r="H6" s="15">
        <v>30</v>
      </c>
      <c r="I6" s="34"/>
      <c r="J6" s="16">
        <v>45.1</v>
      </c>
      <c r="K6" s="34">
        <f>+J6*H6</f>
        <v>1353</v>
      </c>
      <c r="L6" s="34">
        <f>+K6/1000</f>
        <v>1.353</v>
      </c>
      <c r="M6" s="35"/>
    </row>
    <row r="7" spans="1:13" s="8" customFormat="1" ht="29.25" customHeight="1" x14ac:dyDescent="0.25">
      <c r="B7" s="36" t="s">
        <v>63</v>
      </c>
      <c r="C7" s="22" t="s">
        <v>64</v>
      </c>
      <c r="D7" s="22" t="s">
        <v>16</v>
      </c>
      <c r="E7" s="5">
        <f>3*2</f>
        <v>6</v>
      </c>
      <c r="F7" s="5"/>
      <c r="G7" s="5" t="s">
        <v>7</v>
      </c>
      <c r="H7" s="5">
        <v>60</v>
      </c>
      <c r="I7" s="23"/>
      <c r="J7" s="6">
        <v>50.8</v>
      </c>
      <c r="K7" s="23">
        <f t="shared" ref="K7:K8" si="0">+J7*H7</f>
        <v>3048</v>
      </c>
      <c r="L7" s="23">
        <f t="shared" ref="L7:L8" si="1">+K7/1000</f>
        <v>3.048</v>
      </c>
      <c r="M7" s="37"/>
    </row>
    <row r="8" spans="1:13" s="8" customFormat="1" ht="29.25" customHeight="1" x14ac:dyDescent="0.25">
      <c r="B8" s="36" t="s">
        <v>65</v>
      </c>
      <c r="C8" s="22" t="s">
        <v>66</v>
      </c>
      <c r="D8" s="22" t="s">
        <v>16</v>
      </c>
      <c r="E8" s="5">
        <f>4.7/2</f>
        <v>2.35</v>
      </c>
      <c r="F8" s="5">
        <f>+E8+E7+E6</f>
        <v>13.75</v>
      </c>
      <c r="G8" s="5" t="s">
        <v>7</v>
      </c>
      <c r="H8" s="5">
        <f>4*30</f>
        <v>120</v>
      </c>
      <c r="I8" s="23"/>
      <c r="J8" s="6">
        <v>1.43</v>
      </c>
      <c r="K8" s="23">
        <f t="shared" si="0"/>
        <v>171.6</v>
      </c>
      <c r="L8" s="23">
        <f t="shared" si="1"/>
        <v>0.1716</v>
      </c>
      <c r="M8" s="37"/>
    </row>
    <row r="9" spans="1:13" s="8" customFormat="1" ht="29.25" customHeight="1" x14ac:dyDescent="0.25">
      <c r="B9" s="36" t="s">
        <v>61</v>
      </c>
      <c r="C9" s="22" t="s">
        <v>101</v>
      </c>
      <c r="D9" s="24" t="s">
        <v>145</v>
      </c>
      <c r="E9" s="5">
        <v>1000</v>
      </c>
      <c r="F9" s="5">
        <v>256.5</v>
      </c>
      <c r="G9" s="5" t="s">
        <v>5</v>
      </c>
      <c r="H9" s="5">
        <f>19.46*1.29</f>
        <v>25.103400000000001</v>
      </c>
      <c r="I9" s="23"/>
      <c r="J9" s="6">
        <v>32.700000000000003</v>
      </c>
      <c r="K9" s="23">
        <f>+J9*H9</f>
        <v>820.88118000000009</v>
      </c>
      <c r="L9" s="23">
        <f>+K9/1000</f>
        <v>0.8208811800000001</v>
      </c>
      <c r="M9" s="37"/>
    </row>
    <row r="10" spans="1:13" s="8" customFormat="1" ht="29.25" customHeight="1" x14ac:dyDescent="0.25">
      <c r="B10" s="36" t="s">
        <v>61</v>
      </c>
      <c r="C10" s="22" t="s">
        <v>102</v>
      </c>
      <c r="D10" s="24" t="s">
        <v>146</v>
      </c>
      <c r="E10" s="5">
        <v>1000</v>
      </c>
      <c r="F10" s="5">
        <v>256.5</v>
      </c>
      <c r="G10" s="5" t="s">
        <v>5</v>
      </c>
      <c r="H10" s="5">
        <f>21*2*1.29</f>
        <v>54.18</v>
      </c>
      <c r="I10" s="23"/>
      <c r="J10" s="6">
        <v>32.700000000000003</v>
      </c>
      <c r="K10" s="23">
        <f>+J10*H10</f>
        <v>1771.6860000000001</v>
      </c>
      <c r="L10" s="23">
        <f>+K10/1000</f>
        <v>1.7716860000000001</v>
      </c>
      <c r="M10" s="37"/>
    </row>
    <row r="11" spans="1:13" s="8" customFormat="1" ht="29.25" customHeight="1" x14ac:dyDescent="0.25">
      <c r="B11" s="36" t="s">
        <v>97</v>
      </c>
      <c r="C11" s="22" t="s">
        <v>102</v>
      </c>
      <c r="D11" s="5"/>
      <c r="E11" s="5"/>
      <c r="F11" s="5"/>
      <c r="G11" s="5" t="s">
        <v>5</v>
      </c>
      <c r="H11" s="5">
        <v>-2</v>
      </c>
      <c r="I11" s="23"/>
      <c r="J11" s="6">
        <v>700</v>
      </c>
      <c r="K11" s="23">
        <f>+I11*J11</f>
        <v>0</v>
      </c>
      <c r="L11" s="23">
        <f>+K11/1000</f>
        <v>0</v>
      </c>
      <c r="M11" s="37"/>
    </row>
    <row r="12" spans="1:13" s="8" customFormat="1" ht="29.25" customHeight="1" x14ac:dyDescent="0.25">
      <c r="B12" s="36" t="s">
        <v>67</v>
      </c>
      <c r="C12" s="22" t="s">
        <v>87</v>
      </c>
      <c r="D12" s="24" t="s">
        <v>16</v>
      </c>
      <c r="E12" s="5">
        <v>2085</v>
      </c>
      <c r="F12" s="5">
        <v>1500</v>
      </c>
      <c r="G12" s="5" t="s">
        <v>1</v>
      </c>
      <c r="H12" s="5">
        <f>++(9.11+7)*2+(8.5+6.5)*2+(9+6.7)</f>
        <v>77.92</v>
      </c>
      <c r="I12" s="23"/>
      <c r="J12" s="6">
        <v>0.89</v>
      </c>
      <c r="K12" s="23">
        <f t="shared" ref="K12" si="2">+J12*H12</f>
        <v>69.348799999999997</v>
      </c>
      <c r="L12" s="23">
        <f t="shared" ref="L12" si="3">+K12/1000</f>
        <v>6.9348800000000002E-2</v>
      </c>
      <c r="M12" s="37"/>
    </row>
    <row r="13" spans="1:13" s="8" customFormat="1" ht="29.25" customHeight="1" x14ac:dyDescent="0.25">
      <c r="B13" s="36"/>
      <c r="C13" s="22"/>
      <c r="D13" s="24"/>
      <c r="E13" s="5"/>
      <c r="F13" s="5"/>
      <c r="G13" s="5"/>
      <c r="H13" s="5"/>
      <c r="I13" s="23"/>
      <c r="J13" s="6"/>
      <c r="K13" s="23"/>
      <c r="L13" s="23"/>
      <c r="M13" s="37"/>
    </row>
    <row r="14" spans="1:13" s="8" customFormat="1" ht="29.25" customHeight="1" thickBot="1" x14ac:dyDescent="0.3">
      <c r="B14" s="38" t="s">
        <v>68</v>
      </c>
      <c r="C14" s="39" t="s">
        <v>69</v>
      </c>
      <c r="D14" s="40" t="s">
        <v>16</v>
      </c>
      <c r="E14" s="21">
        <f>+(1500+140+140)*4</f>
        <v>7120</v>
      </c>
      <c r="F14" s="21">
        <v>1100</v>
      </c>
      <c r="G14" s="21" t="s">
        <v>1</v>
      </c>
      <c r="H14" s="41">
        <f>30*1.4</f>
        <v>42</v>
      </c>
      <c r="I14" s="41"/>
      <c r="J14" s="42">
        <v>16</v>
      </c>
      <c r="K14" s="41">
        <f>+J14*H14</f>
        <v>672</v>
      </c>
      <c r="L14" s="41">
        <f t="shared" ref="L14" si="4">+K14/1000</f>
        <v>0.67200000000000004</v>
      </c>
      <c r="M14" s="43"/>
    </row>
    <row r="15" spans="1:13" s="8" customFormat="1" ht="29.25" customHeight="1" thickBot="1" x14ac:dyDescent="0.3">
      <c r="B15" s="9" t="s">
        <v>73</v>
      </c>
      <c r="C15" s="11"/>
      <c r="D15" s="44"/>
      <c r="E15" s="27" t="s">
        <v>2</v>
      </c>
      <c r="F15" s="27" t="s">
        <v>3</v>
      </c>
      <c r="G15" s="27" t="s">
        <v>94</v>
      </c>
      <c r="H15" s="27" t="s">
        <v>0</v>
      </c>
      <c r="I15" s="45" t="s">
        <v>96</v>
      </c>
      <c r="J15" s="27" t="s">
        <v>95</v>
      </c>
      <c r="K15" s="45" t="s">
        <v>91</v>
      </c>
      <c r="L15" s="45" t="s">
        <v>92</v>
      </c>
      <c r="M15" s="46" t="s">
        <v>144</v>
      </c>
    </row>
    <row r="16" spans="1:13" s="8" customFormat="1" ht="29.25" customHeight="1" x14ac:dyDescent="0.25">
      <c r="B16" s="32" t="s">
        <v>49</v>
      </c>
      <c r="C16" s="33" t="s">
        <v>50</v>
      </c>
      <c r="D16" s="47" t="s">
        <v>103</v>
      </c>
      <c r="E16" s="15">
        <f>1500+140+140</f>
        <v>1780</v>
      </c>
      <c r="F16" s="15">
        <v>1500</v>
      </c>
      <c r="G16" s="15" t="s">
        <v>7</v>
      </c>
      <c r="H16" s="15">
        <f>18*2</f>
        <v>36</v>
      </c>
      <c r="I16" s="34">
        <f>3.14*0.1*0.1/4*H16</f>
        <v>0.28260000000000002</v>
      </c>
      <c r="J16" s="16">
        <v>700</v>
      </c>
      <c r="K16" s="34">
        <f>+I16*J16</f>
        <v>197.82000000000002</v>
      </c>
      <c r="L16" s="34">
        <f>+K16/1000</f>
        <v>0.19782000000000002</v>
      </c>
      <c r="M16" s="48">
        <f>(2*3.14*0.1*0.1/4)+(3.14*0.1*1.8)*H16</f>
        <v>20.362900000000003</v>
      </c>
    </row>
    <row r="17" spans="2:13" s="8" customFormat="1" ht="29.25" customHeight="1" x14ac:dyDescent="0.25">
      <c r="B17" s="36" t="s">
        <v>55</v>
      </c>
      <c r="C17" s="22" t="s">
        <v>143</v>
      </c>
      <c r="D17" s="24" t="s">
        <v>75</v>
      </c>
      <c r="E17" s="5" t="s">
        <v>7</v>
      </c>
      <c r="F17" s="6">
        <v>30</v>
      </c>
      <c r="G17" s="5" t="s">
        <v>7</v>
      </c>
      <c r="H17" s="5">
        <v>30</v>
      </c>
      <c r="I17" s="23">
        <f>3.14*0.15*0.15/2*H17</f>
        <v>1.0597499999999997</v>
      </c>
      <c r="J17" s="6">
        <v>475</v>
      </c>
      <c r="K17" s="23">
        <f>+I17*J17</f>
        <v>503.38124999999985</v>
      </c>
      <c r="L17" s="23">
        <f>+K17/1000</f>
        <v>0.50338124999999989</v>
      </c>
      <c r="M17" s="49">
        <f>(2*3.14*0.1*0.1/4)+(3.14*0.1*1.13)*H17</f>
        <v>10.660300000000001</v>
      </c>
    </row>
    <row r="18" spans="2:13" s="8" customFormat="1" ht="29.25" customHeight="1" x14ac:dyDescent="0.25">
      <c r="B18" s="36" t="s">
        <v>56</v>
      </c>
      <c r="C18" s="22" t="s">
        <v>70</v>
      </c>
      <c r="D18" s="24" t="s">
        <v>141</v>
      </c>
      <c r="E18" s="5"/>
      <c r="F18" s="5"/>
      <c r="G18" s="5" t="s">
        <v>7</v>
      </c>
      <c r="H18" s="25">
        <f>20.2/0.55*1.1</f>
        <v>40.399999999999991</v>
      </c>
      <c r="I18" s="23">
        <f>0.025*0.25*2.2+H18</f>
        <v>40.413749999999993</v>
      </c>
      <c r="J18" s="6">
        <v>700</v>
      </c>
      <c r="K18" s="23">
        <f>+I18*J18</f>
        <v>28289.624999999996</v>
      </c>
      <c r="L18" s="23">
        <f>+K18/1000</f>
        <v>28.289624999999997</v>
      </c>
      <c r="M18" s="49">
        <f>2*(0.025*0.25+0.025*2.2+0.25*2.2)*H18</f>
        <v>49.388999999999996</v>
      </c>
    </row>
    <row r="19" spans="2:13" s="8" customFormat="1" ht="29.25" customHeight="1" x14ac:dyDescent="0.25">
      <c r="B19" s="36" t="s">
        <v>72</v>
      </c>
      <c r="C19" s="22" t="s">
        <v>70</v>
      </c>
      <c r="D19" s="24" t="s">
        <v>141</v>
      </c>
      <c r="E19" s="5">
        <f>+(1500+140+140)*4</f>
        <v>7120</v>
      </c>
      <c r="F19" s="5">
        <v>1100</v>
      </c>
      <c r="G19" s="5" t="s">
        <v>7</v>
      </c>
      <c r="H19" s="5">
        <f>48/0.55*1.1</f>
        <v>96</v>
      </c>
      <c r="I19" s="23">
        <f>0.05*0.25*2.2*H19</f>
        <v>2.6400000000000006</v>
      </c>
      <c r="J19" s="6">
        <v>700</v>
      </c>
      <c r="K19" s="23">
        <f>+I19*J19</f>
        <v>1848.0000000000005</v>
      </c>
      <c r="L19" s="23">
        <f>+K19/1000</f>
        <v>1.8480000000000005</v>
      </c>
      <c r="M19" s="49">
        <f>2*(0.025*0.25+0.025*2.2+0.25*2.2)*H19</f>
        <v>117.36000000000001</v>
      </c>
    </row>
    <row r="20" spans="2:13" s="8" customFormat="1" ht="29.25" customHeight="1" thickBot="1" x14ac:dyDescent="0.3">
      <c r="B20" s="38" t="s">
        <v>72</v>
      </c>
      <c r="C20" s="39" t="s">
        <v>97</v>
      </c>
      <c r="D20" s="40" t="s">
        <v>142</v>
      </c>
      <c r="E20" s="21">
        <f>1500+160+160</f>
        <v>1820</v>
      </c>
      <c r="F20" s="21">
        <v>1500</v>
      </c>
      <c r="G20" s="21" t="s">
        <v>5</v>
      </c>
      <c r="H20" s="21">
        <v>-2</v>
      </c>
      <c r="I20" s="41">
        <f>+H20*0.05</f>
        <v>-0.1</v>
      </c>
      <c r="J20" s="42">
        <v>700</v>
      </c>
      <c r="K20" s="41">
        <f>+I20*J20</f>
        <v>-70</v>
      </c>
      <c r="L20" s="41">
        <f>+K20/1000</f>
        <v>-7.0000000000000007E-2</v>
      </c>
      <c r="M20" s="50">
        <v>-2</v>
      </c>
    </row>
    <row r="21" spans="2:13" s="8" customFormat="1" ht="29.25" customHeight="1" thickBot="1" x14ac:dyDescent="0.3">
      <c r="B21" s="9" t="s">
        <v>80</v>
      </c>
      <c r="C21" s="51"/>
      <c r="D21" s="44"/>
      <c r="E21" s="27" t="s">
        <v>2</v>
      </c>
      <c r="F21" s="27" t="s">
        <v>3</v>
      </c>
      <c r="G21" s="27" t="s">
        <v>94</v>
      </c>
      <c r="H21" s="27" t="s">
        <v>0</v>
      </c>
      <c r="I21" s="45" t="s">
        <v>96</v>
      </c>
      <c r="J21" s="27" t="s">
        <v>95</v>
      </c>
      <c r="K21" s="45" t="s">
        <v>91</v>
      </c>
      <c r="L21" s="45" t="s">
        <v>92</v>
      </c>
      <c r="M21" s="46" t="s">
        <v>144</v>
      </c>
    </row>
    <row r="22" spans="2:13" s="8" customFormat="1" ht="29.25" customHeight="1" x14ac:dyDescent="0.25">
      <c r="B22" s="32" t="s">
        <v>48</v>
      </c>
      <c r="C22" s="33" t="s">
        <v>74</v>
      </c>
      <c r="D22" s="47" t="s">
        <v>84</v>
      </c>
      <c r="E22" s="15">
        <f>1500+160+160</f>
        <v>1820</v>
      </c>
      <c r="F22" s="15">
        <v>1100</v>
      </c>
      <c r="G22" s="15" t="s">
        <v>7</v>
      </c>
      <c r="H22" s="15">
        <f>3*20</f>
        <v>60</v>
      </c>
      <c r="I22" s="34">
        <f>0.15*0.26*1*H22</f>
        <v>2.34</v>
      </c>
      <c r="J22" s="16">
        <v>700</v>
      </c>
      <c r="K22" s="34">
        <f>+I22*J22</f>
        <v>1638</v>
      </c>
      <c r="L22" s="34">
        <f>+K22/1000</f>
        <v>1.6379999999999999</v>
      </c>
      <c r="M22" s="48">
        <f>2*(0.15*0.26+0.15*1+0.26*1)*H22</f>
        <v>53.88</v>
      </c>
    </row>
    <row r="23" spans="2:13" s="8" customFormat="1" ht="29.25" customHeight="1" x14ac:dyDescent="0.25">
      <c r="B23" s="36" t="s">
        <v>48</v>
      </c>
      <c r="C23" s="22" t="s">
        <v>58</v>
      </c>
      <c r="D23" s="24" t="s">
        <v>84</v>
      </c>
      <c r="E23" s="5">
        <v>1000</v>
      </c>
      <c r="F23" s="5"/>
      <c r="G23" s="5" t="s">
        <v>7</v>
      </c>
      <c r="H23" s="5">
        <f>2*26</f>
        <v>52</v>
      </c>
      <c r="I23" s="23">
        <f t="shared" ref="I23" si="5">0.15*0.26*1*H23</f>
        <v>2.028</v>
      </c>
      <c r="J23" s="6">
        <v>700</v>
      </c>
      <c r="K23" s="23">
        <f t="shared" ref="K23:K28" si="6">+I23*J23</f>
        <v>1419.6</v>
      </c>
      <c r="L23" s="23">
        <f t="shared" ref="L23:L28" si="7">+K23/1000</f>
        <v>1.4196</v>
      </c>
      <c r="M23" s="49">
        <f>2*(0.15*0.26+0.15*1+0.26*1)*H23</f>
        <v>46.695999999999998</v>
      </c>
    </row>
    <row r="24" spans="2:13" s="8" customFormat="1" ht="29.25" customHeight="1" x14ac:dyDescent="0.25">
      <c r="B24" s="36" t="s">
        <v>49</v>
      </c>
      <c r="C24" s="22" t="s">
        <v>76</v>
      </c>
      <c r="D24" s="24" t="s">
        <v>59</v>
      </c>
      <c r="E24" s="5">
        <f>1500+160+160</f>
        <v>1820</v>
      </c>
      <c r="F24" s="5">
        <v>1100</v>
      </c>
      <c r="G24" s="5" t="s">
        <v>7</v>
      </c>
      <c r="H24" s="5">
        <v>13</v>
      </c>
      <c r="I24" s="23">
        <f>3.14*0.15*0.15/4*H24*2</f>
        <v>0.45922499999999994</v>
      </c>
      <c r="J24" s="6">
        <v>700</v>
      </c>
      <c r="K24" s="23">
        <f t="shared" si="6"/>
        <v>321.45749999999998</v>
      </c>
      <c r="L24" s="23">
        <f t="shared" si="7"/>
        <v>0.32145750000000001</v>
      </c>
      <c r="M24" s="49">
        <f>(2*3.14*0.15*0.15/4)+(3.14*0.15*1.8)*H24</f>
        <v>11.056725</v>
      </c>
    </row>
    <row r="25" spans="2:13" s="8" customFormat="1" ht="29.25" customHeight="1" x14ac:dyDescent="0.25">
      <c r="B25" s="36" t="s">
        <v>49</v>
      </c>
      <c r="C25" s="22" t="s">
        <v>77</v>
      </c>
      <c r="D25" s="24" t="s">
        <v>59</v>
      </c>
      <c r="E25" s="5">
        <f>1500+160+160</f>
        <v>1820</v>
      </c>
      <c r="F25" s="5"/>
      <c r="G25" s="5" t="s">
        <v>7</v>
      </c>
      <c r="H25" s="5">
        <v>7</v>
      </c>
      <c r="I25" s="23">
        <f>3.14*0.15*0.15/4*H25*4</f>
        <v>0.49454999999999993</v>
      </c>
      <c r="J25" s="6">
        <v>700</v>
      </c>
      <c r="K25" s="23">
        <f t="shared" si="6"/>
        <v>346.18499999999995</v>
      </c>
      <c r="L25" s="23">
        <f t="shared" si="7"/>
        <v>0.34618499999999996</v>
      </c>
      <c r="M25" s="49">
        <f>(2*3.14*0.15*0.15/4)+(3.14*0.15*4)*H25</f>
        <v>13.223324999999999</v>
      </c>
    </row>
    <row r="26" spans="2:13" s="8" customFormat="1" ht="29.25" customHeight="1" x14ac:dyDescent="0.25">
      <c r="B26" s="36" t="s">
        <v>49</v>
      </c>
      <c r="C26" s="22" t="s">
        <v>76</v>
      </c>
      <c r="D26" s="24" t="s">
        <v>51</v>
      </c>
      <c r="E26" s="5">
        <f>1500+160+160</f>
        <v>1820</v>
      </c>
      <c r="F26" s="5">
        <v>1100</v>
      </c>
      <c r="G26" s="5" t="s">
        <v>7</v>
      </c>
      <c r="H26" s="5">
        <v>13</v>
      </c>
      <c r="I26" s="23">
        <f>3.14*0.1*0.1/4*1.8*H26</f>
        <v>0.18369000000000002</v>
      </c>
      <c r="J26" s="6">
        <v>475</v>
      </c>
      <c r="K26" s="23">
        <f t="shared" si="6"/>
        <v>87.252750000000006</v>
      </c>
      <c r="L26" s="23">
        <f t="shared" si="7"/>
        <v>8.7252750000000004E-2</v>
      </c>
      <c r="M26" s="49"/>
    </row>
    <row r="27" spans="2:13" s="8" customFormat="1" ht="29.25" customHeight="1" x14ac:dyDescent="0.25">
      <c r="B27" s="36" t="s">
        <v>49</v>
      </c>
      <c r="C27" s="22" t="s">
        <v>98</v>
      </c>
      <c r="D27" s="24" t="s">
        <v>51</v>
      </c>
      <c r="E27" s="5"/>
      <c r="F27" s="5"/>
      <c r="G27" s="5" t="s">
        <v>7</v>
      </c>
      <c r="H27" s="5">
        <v>7</v>
      </c>
      <c r="I27" s="23">
        <f>3.14*0.15*0.15/4*4*H27</f>
        <v>0.49454999999999993</v>
      </c>
      <c r="J27" s="6">
        <v>475</v>
      </c>
      <c r="K27" s="23">
        <f t="shared" si="6"/>
        <v>234.91124999999997</v>
      </c>
      <c r="L27" s="23">
        <f t="shared" si="7"/>
        <v>0.23491124999999996</v>
      </c>
      <c r="M27" s="49"/>
    </row>
    <row r="28" spans="2:13" s="8" customFormat="1" ht="29.25" customHeight="1" thickBot="1" x14ac:dyDescent="0.3">
      <c r="B28" s="38" t="s">
        <v>78</v>
      </c>
      <c r="C28" s="39" t="s">
        <v>81</v>
      </c>
      <c r="D28" s="40" t="s">
        <v>79</v>
      </c>
      <c r="E28" s="21">
        <v>1000</v>
      </c>
      <c r="F28" s="21"/>
      <c r="G28" s="21" t="s">
        <v>7</v>
      </c>
      <c r="H28" s="21">
        <v>40</v>
      </c>
      <c r="I28" s="41">
        <f>0.05*0.25*1*H28</f>
        <v>0.5</v>
      </c>
      <c r="J28" s="42">
        <v>700</v>
      </c>
      <c r="K28" s="41">
        <f t="shared" si="6"/>
        <v>350</v>
      </c>
      <c r="L28" s="41">
        <f t="shared" si="7"/>
        <v>0.35</v>
      </c>
      <c r="M28" s="50">
        <f>2*(0.05*0.25+0.05*1+0.25*1)*H28</f>
        <v>25</v>
      </c>
    </row>
    <row r="29" spans="2:13" s="8" customFormat="1" ht="29.25" customHeight="1" thickBot="1" x14ac:dyDescent="0.3">
      <c r="B29" s="9" t="s">
        <v>85</v>
      </c>
      <c r="C29" s="51"/>
      <c r="D29" s="51"/>
      <c r="E29" s="52"/>
      <c r="F29" s="52"/>
      <c r="G29" s="27" t="s">
        <v>94</v>
      </c>
      <c r="H29" s="27" t="s">
        <v>0</v>
      </c>
      <c r="I29" s="45" t="s">
        <v>96</v>
      </c>
      <c r="J29" s="27" t="s">
        <v>95</v>
      </c>
      <c r="K29" s="45" t="s">
        <v>91</v>
      </c>
      <c r="L29" s="45" t="s">
        <v>92</v>
      </c>
      <c r="M29" s="46" t="s">
        <v>144</v>
      </c>
    </row>
    <row r="30" spans="2:13" s="8" customFormat="1" ht="29.25" customHeight="1" x14ac:dyDescent="0.25">
      <c r="B30" s="32" t="s">
        <v>49</v>
      </c>
      <c r="C30" s="33" t="s">
        <v>99</v>
      </c>
      <c r="D30" s="47" t="s">
        <v>86</v>
      </c>
      <c r="E30" s="15">
        <f>1500+160+160</f>
        <v>1820</v>
      </c>
      <c r="F30" s="15">
        <v>1500</v>
      </c>
      <c r="G30" s="15" t="s">
        <v>5</v>
      </c>
      <c r="H30" s="15">
        <v>13</v>
      </c>
      <c r="I30" s="34">
        <f>3.14*0.15*0.15/4*1.8*H30</f>
        <v>0.41330249999999991</v>
      </c>
      <c r="J30" s="16">
        <v>475</v>
      </c>
      <c r="K30" s="34">
        <f t="shared" ref="K30:K31" si="8">+I30*J30</f>
        <v>196.31868749999995</v>
      </c>
      <c r="L30" s="34">
        <f t="shared" ref="L30:L33" si="9">+K30/1000</f>
        <v>0.19631868749999995</v>
      </c>
      <c r="M30" s="48"/>
    </row>
    <row r="31" spans="2:13" s="8" customFormat="1" ht="29.25" customHeight="1" x14ac:dyDescent="0.25">
      <c r="B31" s="36" t="s">
        <v>49</v>
      </c>
      <c r="C31" s="22" t="s">
        <v>100</v>
      </c>
      <c r="D31" s="24" t="s">
        <v>86</v>
      </c>
      <c r="E31" s="5">
        <v>300</v>
      </c>
      <c r="F31" s="5"/>
      <c r="G31" s="5" t="s">
        <v>5</v>
      </c>
      <c r="H31" s="5">
        <v>7</v>
      </c>
      <c r="I31" s="23">
        <f>3.14*0.15*0.15/4*4*H31</f>
        <v>0.49454999999999993</v>
      </c>
      <c r="J31" s="6">
        <v>475</v>
      </c>
      <c r="K31" s="23">
        <f t="shared" si="8"/>
        <v>234.91124999999997</v>
      </c>
      <c r="L31" s="23">
        <f t="shared" si="9"/>
        <v>0.23491124999999996</v>
      </c>
      <c r="M31" s="49"/>
    </row>
    <row r="32" spans="2:13" s="8" customFormat="1" ht="29.25" customHeight="1" x14ac:dyDescent="0.25">
      <c r="B32" s="36" t="s">
        <v>78</v>
      </c>
      <c r="C32" s="22" t="s">
        <v>82</v>
      </c>
      <c r="D32" s="24" t="s">
        <v>83</v>
      </c>
      <c r="E32" s="5">
        <v>1730</v>
      </c>
      <c r="F32" s="5"/>
      <c r="G32" s="5"/>
      <c r="H32" s="5">
        <v>20</v>
      </c>
      <c r="I32" s="23">
        <f>0.025*0.2*1</f>
        <v>5.000000000000001E-3</v>
      </c>
      <c r="J32" s="6">
        <v>475</v>
      </c>
      <c r="K32" s="23">
        <f>+I32*J32</f>
        <v>2.3750000000000004</v>
      </c>
      <c r="L32" s="23">
        <f t="shared" si="9"/>
        <v>2.3750000000000004E-3</v>
      </c>
      <c r="M32" s="49">
        <f>2*(0.025*0.2+0.025*1+0.2*1)*H32</f>
        <v>9.2000000000000011</v>
      </c>
    </row>
    <row r="33" spans="2:13" s="8" customFormat="1" ht="29.25" customHeight="1" x14ac:dyDescent="0.25">
      <c r="B33" s="36" t="s">
        <v>104</v>
      </c>
      <c r="C33" s="22" t="s">
        <v>110</v>
      </c>
      <c r="D33" s="24"/>
      <c r="E33" s="26"/>
      <c r="F33" s="26"/>
      <c r="G33" s="5" t="s">
        <v>1</v>
      </c>
      <c r="H33" s="5">
        <v>300</v>
      </c>
      <c r="I33" s="23"/>
      <c r="J33" s="6">
        <v>6.0600000000000001E-2</v>
      </c>
      <c r="K33" s="23">
        <f>+H33*J33</f>
        <v>18.18</v>
      </c>
      <c r="L33" s="23">
        <f t="shared" si="9"/>
        <v>1.8179999999999998E-2</v>
      </c>
      <c r="M33" s="37"/>
    </row>
    <row r="34" spans="2:13" s="8" customFormat="1" ht="29.25" customHeight="1" x14ac:dyDescent="0.25">
      <c r="B34" s="36" t="s">
        <v>105</v>
      </c>
      <c r="C34" s="22" t="s">
        <v>106</v>
      </c>
      <c r="D34" s="24"/>
      <c r="E34" s="26"/>
      <c r="F34" s="26"/>
      <c r="G34" s="5" t="s">
        <v>27</v>
      </c>
      <c r="H34" s="5">
        <v>20</v>
      </c>
      <c r="I34" s="23"/>
      <c r="J34" s="6"/>
      <c r="K34" s="23"/>
      <c r="L34" s="23"/>
      <c r="M34" s="49"/>
    </row>
    <row r="35" spans="2:13" s="8" customFormat="1" ht="29.25" customHeight="1" x14ac:dyDescent="0.25">
      <c r="B35" s="36" t="s">
        <v>105</v>
      </c>
      <c r="C35" s="22" t="s">
        <v>107</v>
      </c>
      <c r="D35" s="24"/>
      <c r="E35" s="26"/>
      <c r="F35" s="26"/>
      <c r="G35" s="5" t="s">
        <v>27</v>
      </c>
      <c r="H35" s="5">
        <v>30</v>
      </c>
      <c r="I35" s="23"/>
      <c r="J35" s="6"/>
      <c r="K35" s="23"/>
      <c r="L35" s="23"/>
      <c r="M35" s="49"/>
    </row>
    <row r="36" spans="2:13" s="8" customFormat="1" ht="29.25" customHeight="1" x14ac:dyDescent="0.25">
      <c r="B36" s="36" t="s">
        <v>105</v>
      </c>
      <c r="C36" s="22" t="s">
        <v>108</v>
      </c>
      <c r="D36" s="24"/>
      <c r="E36" s="26"/>
      <c r="F36" s="26"/>
      <c r="G36" s="5" t="s">
        <v>27</v>
      </c>
      <c r="H36" s="5">
        <v>30</v>
      </c>
      <c r="I36" s="23"/>
      <c r="J36" s="6"/>
      <c r="K36" s="23"/>
      <c r="L36" s="23"/>
      <c r="M36" s="49"/>
    </row>
    <row r="37" spans="2:13" s="8" customFormat="1" ht="29.25" customHeight="1" x14ac:dyDescent="0.25">
      <c r="B37" s="36" t="s">
        <v>109</v>
      </c>
      <c r="C37" s="22" t="s">
        <v>112</v>
      </c>
      <c r="D37" s="24"/>
      <c r="E37" s="26"/>
      <c r="F37" s="26"/>
      <c r="G37" s="5" t="s">
        <v>111</v>
      </c>
      <c r="H37" s="5">
        <v>5</v>
      </c>
      <c r="I37" s="23"/>
      <c r="J37" s="6"/>
      <c r="K37" s="23"/>
      <c r="L37" s="23"/>
      <c r="M37" s="49"/>
    </row>
    <row r="38" spans="2:13" s="8" customFormat="1" ht="29.25" customHeight="1" x14ac:dyDescent="0.25">
      <c r="B38" s="36" t="s">
        <v>109</v>
      </c>
      <c r="C38" s="22" t="s">
        <v>113</v>
      </c>
      <c r="D38" s="24"/>
      <c r="E38" s="26"/>
      <c r="F38" s="26"/>
      <c r="G38" s="5" t="s">
        <v>111</v>
      </c>
      <c r="H38" s="5">
        <v>5</v>
      </c>
      <c r="I38" s="23"/>
      <c r="J38" s="6"/>
      <c r="K38" s="23"/>
      <c r="L38" s="23"/>
      <c r="M38" s="49"/>
    </row>
    <row r="39" spans="2:13" ht="29.25" customHeight="1" x14ac:dyDescent="0.25">
      <c r="B39" s="36" t="s">
        <v>53</v>
      </c>
      <c r="C39" s="22" t="s">
        <v>60</v>
      </c>
      <c r="D39" s="24" t="s">
        <v>54</v>
      </c>
      <c r="E39" s="26"/>
      <c r="F39" s="26"/>
      <c r="G39" s="5" t="s">
        <v>6</v>
      </c>
      <c r="H39" s="5">
        <f>5.21*4*0.1</f>
        <v>2.0840000000000001</v>
      </c>
      <c r="I39" s="23"/>
      <c r="J39" s="6"/>
      <c r="K39" s="23"/>
      <c r="L39" s="23"/>
      <c r="M39" s="49"/>
    </row>
    <row r="40" spans="2:13" ht="29.25" customHeight="1" thickBot="1" x14ac:dyDescent="0.3">
      <c r="B40" s="38" t="s">
        <v>42</v>
      </c>
      <c r="C40" s="39"/>
      <c r="D40" s="40"/>
      <c r="E40" s="53"/>
      <c r="F40" s="53"/>
      <c r="G40" s="21" t="s">
        <v>27</v>
      </c>
      <c r="H40" s="21">
        <v>40</v>
      </c>
      <c r="I40" s="21"/>
      <c r="J40" s="42"/>
      <c r="K40" s="41"/>
      <c r="L40" s="41">
        <f>+H40/1000</f>
        <v>0.04</v>
      </c>
      <c r="M40" s="50">
        <f>SUM(M16:M32)</f>
        <v>354.82825000000003</v>
      </c>
    </row>
  </sheetData>
  <mergeCells count="1">
    <mergeCell ref="B2:D2"/>
  </mergeCells>
  <pageMargins left="0.70866141732283472" right="0.70866141732283472" top="0.78740157480314965" bottom="0.78740157480314965" header="0.31496062992125984" footer="0.31496062992125984"/>
  <pageSetup paperSize="9" scale="4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AC40E-E18C-496E-97A1-25E3CE591F2B}">
  <dimension ref="B1:XET14"/>
  <sheetViews>
    <sheetView showGridLines="0" tabSelected="1" workbookViewId="0">
      <selection activeCell="B1" sqref="B1:G1"/>
    </sheetView>
  </sheetViews>
  <sheetFormatPr defaultRowHeight="15" x14ac:dyDescent="0.25"/>
  <cols>
    <col min="1" max="1" width="2.7109375" customWidth="1"/>
    <col min="2" max="2" width="14.28515625" customWidth="1"/>
    <col min="3" max="3" width="26" customWidth="1"/>
    <col min="4" max="4" width="27" customWidth="1"/>
    <col min="5" max="10" width="12.140625" customWidth="1"/>
  </cols>
  <sheetData>
    <row r="1" spans="2:10 16374:16374" ht="35.25" customHeight="1" thickBot="1" x14ac:dyDescent="0.3">
      <c r="B1" s="71" t="s">
        <v>149</v>
      </c>
      <c r="C1" s="71"/>
      <c r="D1" s="71"/>
      <c r="E1" s="71"/>
      <c r="F1" s="71"/>
      <c r="G1" s="71"/>
    </row>
    <row r="2" spans="2:10 16374:16374" ht="45.75" thickBot="1" x14ac:dyDescent="0.3">
      <c r="B2" s="10" t="s">
        <v>137</v>
      </c>
      <c r="C2" s="11" t="s">
        <v>8</v>
      </c>
      <c r="D2" s="11" t="s">
        <v>9</v>
      </c>
      <c r="E2" s="27" t="s">
        <v>94</v>
      </c>
      <c r="F2" s="27" t="s">
        <v>0</v>
      </c>
      <c r="G2" s="27" t="s">
        <v>115</v>
      </c>
      <c r="H2" s="27" t="s">
        <v>150</v>
      </c>
      <c r="I2" s="27" t="s">
        <v>91</v>
      </c>
      <c r="J2" s="56" t="s">
        <v>92</v>
      </c>
    </row>
    <row r="3" spans="2:10 16374:16374" s="8" customFormat="1" ht="25.5" customHeight="1" x14ac:dyDescent="0.25">
      <c r="B3" s="59" t="s">
        <v>114</v>
      </c>
      <c r="C3" s="60" t="s">
        <v>122</v>
      </c>
      <c r="D3" s="14" t="s">
        <v>118</v>
      </c>
      <c r="E3" s="16" t="s">
        <v>1</v>
      </c>
      <c r="F3" s="16">
        <f>6*1*2</f>
        <v>12</v>
      </c>
      <c r="G3" s="34">
        <f>3.14*0.15*0.15*F3</f>
        <v>0.84779999999999989</v>
      </c>
      <c r="H3" s="16">
        <v>700</v>
      </c>
      <c r="I3" s="34">
        <f>+H3*G3</f>
        <v>593.45999999999992</v>
      </c>
      <c r="J3" s="48">
        <f>+I3/1000</f>
        <v>0.59345999999999988</v>
      </c>
    </row>
    <row r="4" spans="2:10 16374:16374" s="8" customFormat="1" ht="25.5" customHeight="1" x14ac:dyDescent="0.25">
      <c r="B4" s="61"/>
      <c r="C4" s="57" t="s">
        <v>78</v>
      </c>
      <c r="D4" s="4" t="s">
        <v>116</v>
      </c>
      <c r="E4" s="6" t="s">
        <v>7</v>
      </c>
      <c r="F4" s="6">
        <v>6</v>
      </c>
      <c r="G4" s="23">
        <f>0.15*0.05*1*F4</f>
        <v>4.4999999999999998E-2</v>
      </c>
      <c r="H4" s="6">
        <v>700</v>
      </c>
      <c r="I4" s="23">
        <f>+H4*G4</f>
        <v>31.5</v>
      </c>
      <c r="J4" s="49">
        <f>+I4/1000</f>
        <v>3.15E-2</v>
      </c>
    </row>
    <row r="5" spans="2:10 16374:16374" s="8" customFormat="1" ht="25.5" customHeight="1" x14ac:dyDescent="0.25">
      <c r="B5" s="61"/>
      <c r="C5" s="57" t="s">
        <v>20</v>
      </c>
      <c r="D5" s="4" t="s">
        <v>21</v>
      </c>
      <c r="E5" s="6" t="s">
        <v>7</v>
      </c>
      <c r="F5" s="6">
        <v>3</v>
      </c>
      <c r="G5" s="23"/>
      <c r="H5" s="6"/>
      <c r="I5" s="23"/>
      <c r="J5" s="49"/>
    </row>
    <row r="6" spans="2:10 16374:16374" s="8" customFormat="1" ht="25.5" customHeight="1" x14ac:dyDescent="0.25">
      <c r="B6" s="61"/>
      <c r="C6" s="57" t="s">
        <v>42</v>
      </c>
      <c r="D6" s="4"/>
      <c r="E6" s="6" t="s">
        <v>43</v>
      </c>
      <c r="F6" s="6">
        <v>12</v>
      </c>
      <c r="G6" s="23"/>
      <c r="H6" s="6"/>
      <c r="I6" s="23"/>
      <c r="J6" s="49"/>
    </row>
    <row r="7" spans="2:10 16374:16374" s="8" customFormat="1" ht="25.5" customHeight="1" x14ac:dyDescent="0.25">
      <c r="B7" s="61" t="s">
        <v>117</v>
      </c>
      <c r="C7" s="57" t="s">
        <v>122</v>
      </c>
      <c r="D7" s="4" t="s">
        <v>119</v>
      </c>
      <c r="E7" s="6" t="s">
        <v>1</v>
      </c>
      <c r="F7" s="6">
        <f>8*2.2*2</f>
        <v>35.200000000000003</v>
      </c>
      <c r="G7" s="23">
        <f>3.14*0.15*0.15/4*F7</f>
        <v>0.62171999999999994</v>
      </c>
      <c r="H7" s="6">
        <v>700</v>
      </c>
      <c r="I7" s="23">
        <f>+H7*G7</f>
        <v>435.20399999999995</v>
      </c>
      <c r="J7" s="49">
        <f>+I7/1000</f>
        <v>0.43520399999999992</v>
      </c>
      <c r="XET7" s="8">
        <f>SUM(A7:XES7)</f>
        <v>1171.4609240000002</v>
      </c>
    </row>
    <row r="8" spans="2:10 16374:16374" s="8" customFormat="1" ht="25.5" customHeight="1" x14ac:dyDescent="0.25">
      <c r="B8" s="36"/>
      <c r="C8" s="57" t="s">
        <v>18</v>
      </c>
      <c r="D8" s="4" t="s">
        <v>120</v>
      </c>
      <c r="E8" s="6" t="s">
        <v>1</v>
      </c>
      <c r="F8" s="6">
        <f>3*2*2</f>
        <v>12</v>
      </c>
      <c r="G8" s="23">
        <f>3.14*0.15*0.15/4*F8</f>
        <v>0.21194999999999997</v>
      </c>
      <c r="H8" s="6">
        <v>700</v>
      </c>
      <c r="I8" s="23">
        <f>+H8*G8</f>
        <v>148.36499999999998</v>
      </c>
      <c r="J8" s="49">
        <f>+I8/1000</f>
        <v>0.14836499999999997</v>
      </c>
    </row>
    <row r="9" spans="2:10 16374:16374" s="8" customFormat="1" ht="25.5" customHeight="1" x14ac:dyDescent="0.25">
      <c r="B9" s="36"/>
      <c r="C9" s="22" t="s">
        <v>81</v>
      </c>
      <c r="D9" s="24" t="s">
        <v>52</v>
      </c>
      <c r="E9" s="5" t="s">
        <v>7</v>
      </c>
      <c r="F9" s="6">
        <v>10</v>
      </c>
      <c r="G9" s="23">
        <f>0.05*0.25*2*F9</f>
        <v>0.25</v>
      </c>
      <c r="H9" s="6">
        <v>700</v>
      </c>
      <c r="I9" s="23">
        <f t="shared" ref="I9" si="0">+G9*H9</f>
        <v>175</v>
      </c>
      <c r="J9" s="49">
        <f t="shared" ref="J9" si="1">+I9/1000</f>
        <v>0.17499999999999999</v>
      </c>
    </row>
    <row r="10" spans="2:10 16374:16374" s="8" customFormat="1" ht="25.5" customHeight="1" x14ac:dyDescent="0.25">
      <c r="B10" s="61" t="s">
        <v>121</v>
      </c>
      <c r="C10" s="57" t="s">
        <v>57</v>
      </c>
      <c r="D10" s="4" t="s">
        <v>123</v>
      </c>
      <c r="E10" s="6" t="s">
        <v>1</v>
      </c>
      <c r="F10" s="6">
        <f>3*2</f>
        <v>6</v>
      </c>
      <c r="G10" s="23">
        <f>3.14*0.15*0.15/4*F10</f>
        <v>0.10597499999999999</v>
      </c>
      <c r="H10" s="6">
        <v>700</v>
      </c>
      <c r="I10" s="23">
        <f>+H10*G10</f>
        <v>74.18249999999999</v>
      </c>
      <c r="J10" s="49">
        <f>+I10/1000</f>
        <v>7.4182499999999985E-2</v>
      </c>
    </row>
    <row r="11" spans="2:10 16374:16374" s="8" customFormat="1" ht="25.5" customHeight="1" x14ac:dyDescent="0.25">
      <c r="B11" s="36"/>
      <c r="C11" s="22" t="s">
        <v>125</v>
      </c>
      <c r="D11" s="24" t="s">
        <v>124</v>
      </c>
      <c r="E11" s="5" t="s">
        <v>7</v>
      </c>
      <c r="F11" s="6">
        <v>3</v>
      </c>
      <c r="G11" s="23">
        <f>3.14*0.1*0.1/4*F11</f>
        <v>2.3550000000000001E-2</v>
      </c>
      <c r="H11" s="6">
        <v>700</v>
      </c>
      <c r="I11" s="23">
        <f t="shared" ref="I11" si="2">+G11*H11</f>
        <v>16.484999999999999</v>
      </c>
      <c r="J11" s="49">
        <f t="shared" ref="J11" si="3">+I11/1000</f>
        <v>1.6485E-2</v>
      </c>
    </row>
    <row r="12" spans="2:10 16374:16374" s="8" customFormat="1" ht="25.5" customHeight="1" x14ac:dyDescent="0.25">
      <c r="B12" s="61" t="s">
        <v>126</v>
      </c>
      <c r="C12" s="57" t="s">
        <v>78</v>
      </c>
      <c r="D12" s="58" t="s">
        <v>127</v>
      </c>
      <c r="E12" s="6" t="s">
        <v>7</v>
      </c>
      <c r="F12" s="6">
        <v>3</v>
      </c>
      <c r="G12" s="23">
        <f>3.14*0.1*0.1/4*F12</f>
        <v>2.3550000000000001E-2</v>
      </c>
      <c r="H12" s="6">
        <v>700</v>
      </c>
      <c r="I12" s="23">
        <f>+H12*G12</f>
        <v>16.484999999999999</v>
      </c>
      <c r="J12" s="49">
        <f>+I12/1000</f>
        <v>1.6485E-2</v>
      </c>
    </row>
    <row r="13" spans="2:10 16374:16374" s="8" customFormat="1" ht="25.5" customHeight="1" x14ac:dyDescent="0.25">
      <c r="B13" s="61" t="s">
        <v>139</v>
      </c>
      <c r="C13" s="57" t="s">
        <v>135</v>
      </c>
      <c r="D13" s="57" t="s">
        <v>136</v>
      </c>
      <c r="E13" s="6" t="s">
        <v>7</v>
      </c>
      <c r="F13" s="6">
        <v>1</v>
      </c>
      <c r="G13" s="23"/>
      <c r="H13" s="6"/>
      <c r="I13" s="23"/>
      <c r="J13" s="49"/>
    </row>
    <row r="14" spans="2:10 16374:16374" s="8" customFormat="1" ht="25.5" customHeight="1" thickBot="1" x14ac:dyDescent="0.3">
      <c r="B14" s="62" t="s">
        <v>4</v>
      </c>
      <c r="C14" s="55" t="s">
        <v>138</v>
      </c>
      <c r="D14" s="63"/>
      <c r="E14" s="42" t="s">
        <v>5</v>
      </c>
      <c r="F14" s="42">
        <v>47.333199999999998</v>
      </c>
      <c r="G14" s="41">
        <f>+G12+G11+G10+G9+G8+G7+G4+G3</f>
        <v>2.1295449999999998</v>
      </c>
      <c r="H14" s="42"/>
      <c r="I14" s="41"/>
      <c r="J14" s="50">
        <f>+J12+J11+J10+J9+J8+J7+J4+J3</f>
        <v>1.4906814999999995</v>
      </c>
    </row>
  </sheetData>
  <mergeCells count="1">
    <mergeCell ref="B1:G1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05FB5-A6D9-4B9F-B549-BA82CA9451B7}">
  <dimension ref="B1:J6"/>
  <sheetViews>
    <sheetView showGridLines="0" workbookViewId="0">
      <selection sqref="A1:J6"/>
    </sheetView>
  </sheetViews>
  <sheetFormatPr defaultRowHeight="15" x14ac:dyDescent="0.25"/>
  <cols>
    <col min="1" max="1" width="2.7109375" customWidth="1"/>
    <col min="2" max="2" width="16.42578125" customWidth="1"/>
    <col min="3" max="3" width="15.85546875" customWidth="1"/>
    <col min="4" max="4" width="27" customWidth="1"/>
    <col min="5" max="5" width="9.5703125" customWidth="1"/>
    <col min="6" max="10" width="10.7109375" customWidth="1"/>
  </cols>
  <sheetData>
    <row r="1" spans="2:10" ht="19.5" thickBot="1" x14ac:dyDescent="0.3">
      <c r="B1" s="71" t="s">
        <v>154</v>
      </c>
      <c r="C1" s="71"/>
      <c r="D1" s="71"/>
      <c r="E1" s="71"/>
      <c r="F1" s="71"/>
      <c r="G1" s="71"/>
    </row>
    <row r="2" spans="2:10" ht="68.25" customHeight="1" thickBot="1" x14ac:dyDescent="0.3">
      <c r="B2" s="10" t="s">
        <v>10</v>
      </c>
      <c r="C2" s="11" t="s">
        <v>8</v>
      </c>
      <c r="D2" s="11" t="s">
        <v>9</v>
      </c>
      <c r="E2" s="27" t="s">
        <v>94</v>
      </c>
      <c r="F2" s="27" t="s">
        <v>0</v>
      </c>
      <c r="G2" s="27" t="s">
        <v>131</v>
      </c>
      <c r="H2" s="27" t="s">
        <v>151</v>
      </c>
      <c r="I2" s="27" t="s">
        <v>91</v>
      </c>
      <c r="J2" s="56" t="s">
        <v>92</v>
      </c>
    </row>
    <row r="3" spans="2:10" ht="31.5" customHeight="1" x14ac:dyDescent="0.25">
      <c r="B3" s="12" t="s">
        <v>128</v>
      </c>
      <c r="C3" s="13" t="s">
        <v>129</v>
      </c>
      <c r="D3" s="14" t="s">
        <v>130</v>
      </c>
      <c r="E3" s="16" t="s">
        <v>1</v>
      </c>
      <c r="F3" s="16">
        <v>23</v>
      </c>
      <c r="G3" s="34">
        <f>3.14*0.1*0.1*F3</f>
        <v>0.72220000000000006</v>
      </c>
      <c r="H3" s="16">
        <v>475</v>
      </c>
      <c r="I3" s="34">
        <f>+H3*G3</f>
        <v>343.04500000000002</v>
      </c>
      <c r="J3" s="48">
        <f>+I3/1000</f>
        <v>0.34304499999999999</v>
      </c>
    </row>
    <row r="4" spans="2:10" ht="31.5" customHeight="1" x14ac:dyDescent="0.25">
      <c r="B4" s="17" t="s">
        <v>132</v>
      </c>
      <c r="C4" s="3" t="s">
        <v>133</v>
      </c>
      <c r="D4" s="4" t="s">
        <v>134</v>
      </c>
      <c r="E4" s="6" t="s">
        <v>7</v>
      </c>
      <c r="F4" s="6">
        <v>11</v>
      </c>
      <c r="G4" s="23"/>
      <c r="H4" s="6"/>
      <c r="I4" s="23">
        <f>+H4*G4</f>
        <v>0</v>
      </c>
      <c r="J4" s="49">
        <f>+I4/1000</f>
        <v>0</v>
      </c>
    </row>
    <row r="5" spans="2:10" ht="31.5" customHeight="1" x14ac:dyDescent="0.25">
      <c r="B5" s="17" t="s">
        <v>135</v>
      </c>
      <c r="C5" s="3" t="s">
        <v>136</v>
      </c>
      <c r="D5" s="4"/>
      <c r="E5" s="54" t="s">
        <v>7</v>
      </c>
      <c r="F5" s="6">
        <v>1</v>
      </c>
      <c r="G5" s="23"/>
      <c r="H5" s="6"/>
      <c r="I5" s="23"/>
      <c r="J5" s="49"/>
    </row>
    <row r="6" spans="2:10" ht="31.5" customHeight="1" thickBot="1" x14ac:dyDescent="0.3">
      <c r="B6" s="18" t="s">
        <v>4</v>
      </c>
      <c r="C6" s="19" t="s">
        <v>138</v>
      </c>
      <c r="D6" s="63"/>
      <c r="E6" s="42" t="s">
        <v>5</v>
      </c>
      <c r="F6" s="42">
        <f>3.14*0.1*0.1/4*F3</f>
        <v>0.18055000000000002</v>
      </c>
      <c r="G6" s="41"/>
      <c r="H6" s="42"/>
      <c r="I6" s="41"/>
      <c r="J6" s="50"/>
    </row>
  </sheetData>
  <mergeCells count="1">
    <mergeCell ref="B1:G1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758B68E7844C4198277870A972927E" ma:contentTypeVersion="13" ma:contentTypeDescription="Vytvoří nový dokument" ma:contentTypeScope="" ma:versionID="b43994236dc4ef8dc484e991e04b6a96">
  <xsd:schema xmlns:xsd="http://www.w3.org/2001/XMLSchema" xmlns:xs="http://www.w3.org/2001/XMLSchema" xmlns:p="http://schemas.microsoft.com/office/2006/metadata/properties" xmlns:ns2="a1e0b986-1a93-4c7a-8a20-9933ed4c11e3" xmlns:ns3="52d485ad-3c54-43f8-8fae-f571584b772d" targetNamespace="http://schemas.microsoft.com/office/2006/metadata/properties" ma:root="true" ma:fieldsID="4afbcb4f84b8dba0896b11d58be55840" ns2:_="" ns3:_="">
    <xsd:import namespace="a1e0b986-1a93-4c7a-8a20-9933ed4c11e3"/>
    <xsd:import namespace="52d485ad-3c54-43f8-8fae-f571584b77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e0b986-1a93-4c7a-8a20-9933ed4c1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3f16b7ac-9339-4492-bc7f-c5ad2461be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d485ad-3c54-43f8-8fae-f571584b772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2984a03-9326-4826-865a-38f3d1625718}" ma:internalName="TaxCatchAll" ma:showField="CatchAllData" ma:web="52d485ad-3c54-43f8-8fae-f571584b772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1e0b986-1a93-4c7a-8a20-9933ed4c11e3">
      <Terms xmlns="http://schemas.microsoft.com/office/infopath/2007/PartnerControls"/>
    </lcf76f155ced4ddcb4097134ff3c332f>
    <TaxCatchAll xmlns="52d485ad-3c54-43f8-8fae-f571584b772d" xsi:nil="true"/>
  </documentManagement>
</p:properties>
</file>

<file path=customXml/itemProps1.xml><?xml version="1.0" encoding="utf-8"?>
<ds:datastoreItem xmlns:ds="http://schemas.openxmlformats.org/officeDocument/2006/customXml" ds:itemID="{28ADA2AF-7DD4-4DCA-8DB6-737240144A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e0b986-1a93-4c7a-8a20-9933ed4c11e3"/>
    <ds:schemaRef ds:uri="52d485ad-3c54-43f8-8fae-f571584b77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D54725-7C61-4ED7-A2E6-21CE336C81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3A690C-B515-4D9C-9B72-F32CCC3D0F04}">
  <ds:schemaRefs>
    <ds:schemaRef ds:uri="http://schemas.microsoft.com/office/2006/metadata/properties"/>
    <ds:schemaRef ds:uri="http://schemas.microsoft.com/office/infopath/2007/PartnerControls"/>
    <ds:schemaRef ds:uri="a1e0b986-1a93-4c7a-8a20-9933ed4c11e3"/>
    <ds:schemaRef ds:uri="52d485ad-3c54-43f8-8fae-f571584b772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SO-01 VV PORTÁL</vt:lpstr>
      <vt:lpstr>SO 02 ZAJIŠTĚNÍ B23</vt:lpstr>
      <vt:lpstr>SO 04 ZAJIŠTĚNÍ</vt:lpstr>
      <vt:lpstr>SO-05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Alois Kveták</dc:creator>
  <cp:lastModifiedBy>Alois Kveták</cp:lastModifiedBy>
  <cp:lastPrinted>2024-07-29T16:01:28Z</cp:lastPrinted>
  <dcterms:created xsi:type="dcterms:W3CDTF">2024-05-16T09:14:45Z</dcterms:created>
  <dcterms:modified xsi:type="dcterms:W3CDTF">2025-10-08T07:20:29Z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0x0101007F758B68E7844C4198277870A972927E</vt:lpwstr>
  </property>
</Properties>
</file>